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2" windowHeight="4752" tabRatio="0" activeTab="1"/>
  </bookViews>
  <sheets>
    <sheet name="Sheet1" sheetId="1" r:id="rId1"/>
    <sheet name="Sheet1 (2)" sheetId="2" r:id="rId2"/>
  </sheets>
  <definedNames>
    <definedName name="_xlnm.Print_Area" localSheetId="0">'Sheet1'!$A$1:$M$47</definedName>
    <definedName name="_xlnm.Print_Area" localSheetId="1">'Sheet1 (2)'!$A$1:$N$51</definedName>
  </definedNames>
  <calcPr fullCalcOnLoad="1"/>
</workbook>
</file>

<file path=xl/comments2.xml><?xml version="1.0" encoding="utf-8"?>
<comments xmlns="http://schemas.openxmlformats.org/spreadsheetml/2006/main">
  <authors>
    <author>Энергосбыт</author>
  </authors>
  <commentList>
    <comment ref="I33" authorId="0">
      <text>
        <r>
          <rPr>
            <b/>
            <sz val="10"/>
            <rFont val="Tahoma"/>
            <family val="0"/>
          </rPr>
          <t>Энергосбыт:</t>
        </r>
        <r>
          <rPr>
            <sz val="10"/>
            <rFont val="Tahoma"/>
            <family val="0"/>
          </rPr>
          <t xml:space="preserve">
67*0.1488=9.97+6.6(адм.здание) см расчет ГВС по Циалковского 1</t>
        </r>
      </text>
    </comment>
  </commentList>
</comments>
</file>

<file path=xl/sharedStrings.xml><?xml version="1.0" encoding="utf-8"?>
<sst xmlns="http://schemas.openxmlformats.org/spreadsheetml/2006/main" count="216" uniqueCount="76">
  <si>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</si>
  <si>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</si>
  <si>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</si>
  <si>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</si>
  <si>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</si>
  <si>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</si>
  <si>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</si>
  <si>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</si>
  <si>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</si>
  <si>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</si>
  <si>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</si>
  <si>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Итого:</t>
  </si>
  <si>
    <t>---</t>
  </si>
  <si>
    <t>Кол-во человек</t>
  </si>
  <si>
    <t>Норматив потребления Гкалл / на 1 человека в месяц</t>
  </si>
  <si>
    <t>Гкал в  месяц</t>
  </si>
  <si>
    <t>Тариф с учетом НДС руб./Гкал</t>
  </si>
  <si>
    <t>"Теплоснабжающая организация":</t>
  </si>
  <si>
    <t>"Потребитель":</t>
  </si>
  <si>
    <t>М.П.</t>
  </si>
  <si>
    <t>исп. Шишкина А.В. тел. 32-83-01</t>
  </si>
  <si>
    <t>Тариф с учетом НДС руб./куб.м</t>
  </si>
  <si>
    <t>ИТОГО:</t>
  </si>
  <si>
    <t>___________________ / С.Н.Тарасов /</t>
  </si>
  <si>
    <t>Котельная ЮРК</t>
  </si>
  <si>
    <t xml:space="preserve">Приложение №1 к договору теплоснабжения № 1249 от 31.08.2015г. </t>
  </si>
  <si>
    <t>ул.Тухачевского</t>
  </si>
  <si>
    <t>пр.Нефтянников, 4</t>
  </si>
  <si>
    <t>ул.Циолковского, 1</t>
  </si>
  <si>
    <t>Котельная Училище связи</t>
  </si>
  <si>
    <t>Котельная "Квартал 324-2"</t>
  </si>
  <si>
    <t>Ед.изм.</t>
  </si>
  <si>
    <t>краны</t>
  </si>
  <si>
    <t>душ</t>
  </si>
  <si>
    <t xml:space="preserve">Тепловая нагрузка </t>
  </si>
  <si>
    <t>Расчетное кол-во отпуска ГВС в месяц (Гкал):</t>
  </si>
  <si>
    <t>Расчетное кол-во отпуска ГВС в месяц (Тн):</t>
  </si>
  <si>
    <t>в/ч 83531 общежитие №121, ул. Тухачевского</t>
  </si>
  <si>
    <t>в/ч 83531 общежитие №126, ул. Тухачевского</t>
  </si>
  <si>
    <t>Общежитие, ул.Циолковского, 1 (БОЙЛЕР)</t>
  </si>
  <si>
    <t>ккал/час</t>
  </si>
  <si>
    <t>_________________ / А.В.Алексеев /</t>
  </si>
  <si>
    <t>Всего по договору (отопление и горячее водоснабжение):</t>
  </si>
  <si>
    <t>№п/п</t>
  </si>
  <si>
    <t>Жилой дом, пр.Нефтянников, 4</t>
  </si>
  <si>
    <t>Общежитие, ул.Циолковского, 1</t>
  </si>
  <si>
    <t>Расчетное кол-во отпуска отопления в год, Гкал</t>
  </si>
  <si>
    <t>Месяц</t>
  </si>
  <si>
    <t>Расчетное кол-во за отопление + потери по месяцам, Гкал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</si>
  <si>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</si>
  <si>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</si>
  <si>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</si>
  <si>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</si>
  <si>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</si>
  <si>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</si>
  <si>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</si>
  <si>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Гкал с октября по апрель</t>
  </si>
  <si>
    <t>Сумма с октября по апрель (руб.)</t>
  </si>
  <si>
    <t>Ориентировочная сумма к оплате за отопление по месяцам, руб. (с НДС)</t>
  </si>
  <si>
    <t>Сумма к оплате за ГВС в месяц, руб. (с НДС)</t>
  </si>
  <si>
    <t>Сумма к оплате за ГВС в месяц, руб./Тн (с НДС)</t>
  </si>
  <si>
    <t>Сумма к оплате за ГВС в месяц, руб./Гкал (с НДС)</t>
  </si>
  <si>
    <t>ИТОГО горячее водоснабжение с августа 2015г. по июнь 2016г.:</t>
  </si>
  <si>
    <t>Норматив потребления куб.м. / на 1 чел в месяц</t>
  </si>
  <si>
    <t>Норматив потребления Гкалл / на 1 чел в месяц</t>
  </si>
  <si>
    <t>куб.м. в месяц</t>
  </si>
  <si>
    <t>Сумма с августа по июль руб/куб.м.</t>
  </si>
  <si>
    <t>Сумма с августа по июль руб/Гкал</t>
  </si>
  <si>
    <t>Сумма с августа по июль, руб.</t>
  </si>
  <si>
    <t>Горячее водоснабжение</t>
  </si>
  <si>
    <t>Норматив потребления  Гкал/на кв.м. (7 месяцев)</t>
  </si>
  <si>
    <t>Гкал с октября по апрель 2015г.</t>
  </si>
  <si>
    <t>Расчетное кол-во за отопление по месяцам, Гкал</t>
  </si>
  <si>
    <t>ИТОГО горячее водоснабжение с августа 2015г. по июль 2016г. :</t>
  </si>
  <si>
    <t>ул.Циолковского, 1 (БОЙЛЕР)</t>
  </si>
  <si>
    <t>16.57 (см. определение месячных норм расхода т/э на нужды ГВС)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</si>
</sst>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"/>
    <numFmt numFmtId="168" formatCode="0.000000"/>
    <numFmt numFmtId="169" formatCode="#,##0.0"/>
    <numFmt numFmtId="170" formatCode="0.0"/>
    <numFmt numFmtId="171" formatCode="#,##0.000"/>
    <numFmt numFmtId="172" formatCode="#,##0.00_р_."/>
  </numFmts>
  <fonts count="32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11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4" fontId="1" fillId="0" borderId="10" xfId="0" applyFont="1" applyBorder="1" applyAlignment="1">
      <alignment horizontal="right"/>
    </xf>
    <xf numFmtId="2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" fontId="1" fillId="0" borderId="13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Font="1" applyBorder="1" applyAlignment="1">
      <alignment horizontal="right"/>
    </xf>
    <xf numFmtId="2" fontId="20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4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1" fillId="0" borderId="0" xfId="0" applyFont="1" applyBorder="1" applyAlignment="1">
      <alignment horizontal="right"/>
    </xf>
    <xf numFmtId="2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Font="1" applyBorder="1" applyAlignment="1">
      <alignment horizontal="center" vertical="center" wrapText="1"/>
    </xf>
    <xf numFmtId="4" fontId="22" fillId="0" borderId="10" xfId="0" applyFont="1" applyBorder="1" applyAlignment="1">
      <alignment horizontal="center" vertical="center" wrapText="1"/>
    </xf>
    <xf numFmtId="2" fontId="22" fillId="0" borderId="10" xfId="0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right"/>
    </xf>
    <xf numFmtId="3" fontId="23" fillId="0" borderId="10" xfId="0" applyFont="1" applyBorder="1" applyAlignment="1">
      <alignment horizontal="right"/>
    </xf>
    <xf numFmtId="4" fontId="23" fillId="0" borderId="10" xfId="0" applyFont="1" applyBorder="1" applyAlignment="1">
      <alignment horizontal="right"/>
    </xf>
    <xf numFmtId="2" fontId="23" fillId="0" borderId="10" xfId="0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4" fontId="2" fillId="0" borderId="10" xfId="0" applyFont="1" applyBorder="1" applyAlignment="1">
      <alignment horizontal="center"/>
    </xf>
    <xf numFmtId="2" fontId="2" fillId="0" borderId="10" xfId="0" applyFont="1" applyBorder="1" applyAlignment="1">
      <alignment horizontal="right"/>
    </xf>
    <xf numFmtId="4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7" xfId="0" applyFont="1" applyBorder="1" applyAlignment="1">
      <alignment horizontal="center"/>
    </xf>
    <xf numFmtId="2" fontId="2" fillId="0" borderId="18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3" fontId="23" fillId="0" borderId="0" xfId="0" applyFont="1" applyBorder="1" applyAlignment="1">
      <alignment horizontal="right"/>
    </xf>
    <xf numFmtId="4" fontId="23" fillId="0" borderId="0" xfId="0" applyFont="1" applyBorder="1" applyAlignment="1">
      <alignment horizontal="right"/>
    </xf>
    <xf numFmtId="2" fontId="23" fillId="0" borderId="0" xfId="0" applyFont="1" applyBorder="1" applyAlignment="1">
      <alignment horizontal="right"/>
    </xf>
    <xf numFmtId="4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4" fillId="0" borderId="17" xfId="0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center" vertical="center"/>
    </xf>
    <xf numFmtId="1" fontId="21" fillId="0" borderId="15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167" fontId="21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4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1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1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/>
    </xf>
    <xf numFmtId="4" fontId="22" fillId="0" borderId="17" xfId="0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22" fillId="0" borderId="17" xfId="0" applyNumberFormat="1" applyFont="1" applyBorder="1" applyAlignment="1" quotePrefix="1">
      <alignment horizontal="center" vertical="center" wrapText="1"/>
    </xf>
    <xf numFmtId="4" fontId="22" fillId="0" borderId="17" xfId="0" applyFont="1" applyBorder="1" applyAlignment="1">
      <alignment horizontal="center"/>
    </xf>
    <xf numFmtId="4" fontId="22" fillId="0" borderId="18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" fontId="2" fillId="0" borderId="15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15" xfId="0" applyNumberFormat="1" applyFont="1" applyBorder="1" applyAlignment="1" quotePrefix="1">
      <alignment horizontal="center" vertical="center"/>
    </xf>
    <xf numFmtId="2" fontId="2" fillId="0" borderId="21" xfId="0" applyNumberFormat="1" applyFont="1" applyBorder="1" applyAlignment="1" quotePrefix="1">
      <alignment horizontal="center" vertical="center"/>
    </xf>
    <xf numFmtId="2" fontId="2" fillId="0" borderId="22" xfId="0" applyNumberFormat="1" applyFont="1" applyBorder="1" applyAlignment="1" quotePrefix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25" fillId="0" borderId="0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/>
    </xf>
    <xf numFmtId="4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75" zoomScaleNormal="75" zoomScaleSheetLayoutView="75" zoomScalePageLayoutView="0" workbookViewId="0" topLeftCell="A16">
      <selection activeCell="C42" sqref="C42"/>
    </sheetView>
  </sheetViews>
  <sheetFormatPr defaultColWidth="10.5" defaultRowHeight="11.25" outlineLevelRow="1" outlineLevelCol="1"/>
  <cols>
    <col min="1" max="1" width="8.16015625" style="1" customWidth="1"/>
    <col min="2" max="2" width="43.5" style="1" customWidth="1"/>
    <col min="3" max="3" width="38.66015625" style="1" customWidth="1"/>
    <col min="4" max="4" width="22.66015625" style="1" customWidth="1"/>
    <col min="5" max="5" width="22.83203125" style="1" customWidth="1"/>
    <col min="6" max="6" width="22.66015625" style="1" customWidth="1"/>
    <col min="7" max="7" width="10.33203125" style="1" hidden="1" customWidth="1" outlineLevel="1"/>
    <col min="8" max="8" width="14.5" style="1" customWidth="1" collapsed="1"/>
    <col min="9" max="9" width="14.5" style="1" customWidth="1"/>
    <col min="10" max="10" width="20.16015625" style="1" customWidth="1"/>
    <col min="11" max="11" width="16.66015625" style="1" customWidth="1"/>
    <col min="12" max="12" width="19.5" style="1" customWidth="1"/>
    <col min="13" max="13" width="21.66015625" style="1" customWidth="1"/>
    <col min="14" max="14" width="15.16015625" style="1" customWidth="1"/>
    <col min="15" max="16384" width="10.5" style="1" customWidth="1"/>
  </cols>
  <sheetData>
    <row r="1" spans="1:10" ht="16.5" customHeight="1">
      <c r="A1" s="181" t="s">
        <v>25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7.5" customHeight="1"/>
    <row r="3" ht="15.75">
      <c r="J3" s="3" t="s">
        <v>0</v>
      </c>
    </row>
    <row r="4" spans="1:10" ht="66" customHeight="1" hidden="1" outlineLevel="1">
      <c r="A4" s="4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s="13" customFormat="1" ht="15" customHeight="1" hidden="1" outlineLevel="1">
      <c r="A5" s="6">
        <v>1</v>
      </c>
      <c r="B5" s="7" t="s">
        <v>26</v>
      </c>
      <c r="C5" s="8" t="s">
        <v>29</v>
      </c>
      <c r="D5" s="9">
        <v>159408</v>
      </c>
      <c r="E5" s="10">
        <v>1368.36</v>
      </c>
      <c r="F5" s="11">
        <v>0.19</v>
      </c>
      <c r="G5" s="12">
        <f>E5*F5/7</f>
        <v>37.14119999999999</v>
      </c>
      <c r="H5" s="12">
        <f>G5*4</f>
        <v>148.56479999999996</v>
      </c>
      <c r="I5" s="10">
        <v>1764.1</v>
      </c>
      <c r="J5" s="10">
        <f>H5*I5</f>
        <v>262083.1636799999</v>
      </c>
    </row>
    <row r="6" spans="1:10" s="13" customFormat="1" ht="15" customHeight="1" hidden="1" outlineLevel="1">
      <c r="A6" s="6">
        <v>2</v>
      </c>
      <c r="B6" s="7" t="s">
        <v>26</v>
      </c>
      <c r="C6" s="8" t="s">
        <v>29</v>
      </c>
      <c r="D6" s="9">
        <v>214924</v>
      </c>
      <c r="E6" s="10">
        <v>2390.45</v>
      </c>
      <c r="F6" s="11">
        <v>0.19</v>
      </c>
      <c r="G6" s="12">
        <f>E6*F6/7</f>
        <v>64.88364285714286</v>
      </c>
      <c r="H6" s="12">
        <f>G6*4</f>
        <v>259.53457142857144</v>
      </c>
      <c r="I6" s="10">
        <v>1764.1</v>
      </c>
      <c r="J6" s="10">
        <f>H6*I6</f>
        <v>457844.93745714286</v>
      </c>
    </row>
    <row r="7" spans="1:10" s="13" customFormat="1" ht="15" customHeight="1" hidden="1" outlineLevel="1">
      <c r="A7" s="6">
        <v>3</v>
      </c>
      <c r="B7" s="7" t="s">
        <v>27</v>
      </c>
      <c r="C7" s="29" t="s">
        <v>24</v>
      </c>
      <c r="D7" s="9">
        <v>13000</v>
      </c>
      <c r="E7" s="10">
        <v>103</v>
      </c>
      <c r="F7" s="11">
        <v>0.19</v>
      </c>
      <c r="G7" s="14">
        <f>E7*F7/7</f>
        <v>2.795714285714286</v>
      </c>
      <c r="H7" s="14">
        <f>G7*4</f>
        <v>11.182857142857143</v>
      </c>
      <c r="I7" s="10">
        <v>1764.1</v>
      </c>
      <c r="J7" s="15">
        <f>H7*I7</f>
        <v>19727.678285714286</v>
      </c>
    </row>
    <row r="8" spans="1:10" s="13" customFormat="1" ht="15" customHeight="1" hidden="1" outlineLevel="1">
      <c r="A8" s="6">
        <v>4</v>
      </c>
      <c r="B8" s="7" t="s">
        <v>28</v>
      </c>
      <c r="C8" s="29" t="s">
        <v>30</v>
      </c>
      <c r="D8" s="9">
        <v>278085</v>
      </c>
      <c r="E8" s="10"/>
      <c r="F8" s="11">
        <v>0.19</v>
      </c>
      <c r="G8" s="14">
        <f>E8*F8/7</f>
        <v>0</v>
      </c>
      <c r="H8" s="14">
        <f>G8*4</f>
        <v>0</v>
      </c>
      <c r="I8" s="10">
        <v>1764.1</v>
      </c>
      <c r="J8" s="15">
        <f>H8*I8</f>
        <v>0</v>
      </c>
    </row>
    <row r="9" spans="1:10" ht="15.75" customHeight="1" hidden="1" outlineLevel="1">
      <c r="A9" s="16"/>
      <c r="B9" s="17" t="s">
        <v>11</v>
      </c>
      <c r="C9" s="18"/>
      <c r="D9" s="19">
        <f>SUM(D5:D8)</f>
        <v>665417</v>
      </c>
      <c r="E9" s="15">
        <f>SUM(E5:E8)</f>
        <v>3861.8099999999995</v>
      </c>
      <c r="F9" s="6" t="s">
        <v>12</v>
      </c>
      <c r="G9" s="6" t="s">
        <v>12</v>
      </c>
      <c r="H9" s="15">
        <f>SUM(H5:H8)</f>
        <v>419.28222857142856</v>
      </c>
      <c r="I9" s="20" t="s">
        <v>12</v>
      </c>
      <c r="J9" s="15">
        <f>SUM(J5:J8)</f>
        <v>739655.779422857</v>
      </c>
    </row>
    <row r="10" ht="5.25" customHeight="1" collapsed="1"/>
    <row r="11" spans="1:10" s="84" customFormat="1" ht="46.5" customHeight="1">
      <c r="A11" s="74" t="s">
        <v>1</v>
      </c>
      <c r="B11" s="74" t="s">
        <v>2</v>
      </c>
      <c r="C11" s="83" t="s">
        <v>3</v>
      </c>
      <c r="D11" s="74" t="s">
        <v>4</v>
      </c>
      <c r="E11" s="74" t="s">
        <v>5</v>
      </c>
      <c r="F11" s="74" t="s">
        <v>6</v>
      </c>
      <c r="G11" s="74" t="s">
        <v>7</v>
      </c>
      <c r="H11" s="74" t="s">
        <v>56</v>
      </c>
      <c r="I11" s="74" t="s">
        <v>9</v>
      </c>
      <c r="J11" s="74" t="s">
        <v>57</v>
      </c>
    </row>
    <row r="12" spans="1:10" s="13" customFormat="1" ht="27" customHeight="1">
      <c r="A12" s="21">
        <v>1</v>
      </c>
      <c r="B12" s="86" t="s">
        <v>37</v>
      </c>
      <c r="C12" s="87" t="s">
        <v>29</v>
      </c>
      <c r="D12" s="88">
        <v>159408</v>
      </c>
      <c r="E12" s="89">
        <v>1368.36</v>
      </c>
      <c r="F12" s="90">
        <v>0.19</v>
      </c>
      <c r="G12" s="91">
        <f>E12*F12/7</f>
        <v>37.14119999999999</v>
      </c>
      <c r="H12" s="91">
        <f>G12*7</f>
        <v>259.98839999999996</v>
      </c>
      <c r="I12" s="89">
        <v>1918.68</v>
      </c>
      <c r="J12" s="89">
        <f>H12*I12</f>
        <v>498834.54331199994</v>
      </c>
    </row>
    <row r="13" spans="1:10" s="13" customFormat="1" ht="27" customHeight="1">
      <c r="A13" s="21">
        <v>2</v>
      </c>
      <c r="B13" s="86" t="s">
        <v>38</v>
      </c>
      <c r="C13" s="87" t="s">
        <v>29</v>
      </c>
      <c r="D13" s="88">
        <v>214924</v>
      </c>
      <c r="E13" s="89">
        <v>2390.45</v>
      </c>
      <c r="F13" s="90">
        <v>0.19</v>
      </c>
      <c r="G13" s="91">
        <f>E13*F13/7</f>
        <v>64.88364285714286</v>
      </c>
      <c r="H13" s="91">
        <f>G13*7</f>
        <v>454.18550000000005</v>
      </c>
      <c r="I13" s="89">
        <v>1918.68</v>
      </c>
      <c r="J13" s="89">
        <f>H13*I13</f>
        <v>871436.6351400001</v>
      </c>
    </row>
    <row r="14" spans="1:10" s="13" customFormat="1" ht="15" customHeight="1">
      <c r="A14" s="21">
        <v>3</v>
      </c>
      <c r="B14" s="86" t="s">
        <v>44</v>
      </c>
      <c r="C14" s="92" t="s">
        <v>24</v>
      </c>
      <c r="D14" s="88">
        <v>13000</v>
      </c>
      <c r="E14" s="89">
        <v>103</v>
      </c>
      <c r="F14" s="90">
        <v>0.19</v>
      </c>
      <c r="G14" s="93">
        <f>E14*F14/7</f>
        <v>2.795714285714286</v>
      </c>
      <c r="H14" s="91">
        <f>G14*7</f>
        <v>19.57</v>
      </c>
      <c r="I14" s="89">
        <v>1918.68</v>
      </c>
      <c r="J14" s="94">
        <f>H14*I14</f>
        <v>37548.5676</v>
      </c>
    </row>
    <row r="15" spans="1:10" s="2" customFormat="1" ht="16.5" customHeight="1">
      <c r="A15" s="17"/>
      <c r="B15" s="17" t="s">
        <v>11</v>
      </c>
      <c r="C15" s="95"/>
      <c r="D15" s="96">
        <f>SUM(D12:D14)</f>
        <v>387332</v>
      </c>
      <c r="E15" s="97">
        <f>SUM(E12:E14)</f>
        <v>3861.8099999999995</v>
      </c>
      <c r="F15" s="98" t="s">
        <v>12</v>
      </c>
      <c r="G15" s="99" t="s">
        <v>12</v>
      </c>
      <c r="H15" s="97">
        <f>SUM(H12:H14)</f>
        <v>733.7439</v>
      </c>
      <c r="I15" s="100" t="s">
        <v>12</v>
      </c>
      <c r="J15" s="97">
        <f>SUM(J12:J14)</f>
        <v>1407819.746052</v>
      </c>
    </row>
    <row r="16" spans="1:11" s="13" customFormat="1" ht="10.5" customHeight="1">
      <c r="A16" s="85"/>
      <c r="B16" s="66"/>
      <c r="C16" s="40"/>
      <c r="D16" s="67"/>
      <c r="E16" s="57"/>
      <c r="F16" s="68"/>
      <c r="G16" s="51"/>
      <c r="H16" s="56"/>
      <c r="I16" s="57"/>
      <c r="J16" s="44"/>
      <c r="K16" s="45"/>
    </row>
    <row r="17" spans="1:13" s="79" customFormat="1" ht="69" customHeight="1">
      <c r="A17" s="73" t="s">
        <v>43</v>
      </c>
      <c r="B17" s="74" t="s">
        <v>2</v>
      </c>
      <c r="C17" s="73" t="s">
        <v>3</v>
      </c>
      <c r="D17" s="75" t="s">
        <v>4</v>
      </c>
      <c r="E17" s="76" t="s">
        <v>16</v>
      </c>
      <c r="F17" s="77" t="s">
        <v>46</v>
      </c>
      <c r="G17" s="78"/>
      <c r="I17" s="80" t="s">
        <v>1</v>
      </c>
      <c r="J17" s="81" t="s">
        <v>47</v>
      </c>
      <c r="K17" s="74" t="s">
        <v>16</v>
      </c>
      <c r="L17" s="82" t="s">
        <v>48</v>
      </c>
      <c r="M17" s="74" t="s">
        <v>58</v>
      </c>
    </row>
    <row r="18" spans="1:13" s="13" customFormat="1" ht="15" customHeight="1">
      <c r="A18" s="21">
        <v>4</v>
      </c>
      <c r="B18" s="86" t="s">
        <v>45</v>
      </c>
      <c r="C18" s="69" t="s">
        <v>30</v>
      </c>
      <c r="D18" s="9">
        <v>278085</v>
      </c>
      <c r="E18" s="10">
        <v>1918.68</v>
      </c>
      <c r="F18" s="14">
        <f>D18*0.002534</f>
        <v>704.66739</v>
      </c>
      <c r="G18" s="52"/>
      <c r="I18" s="60">
        <v>1</v>
      </c>
      <c r="J18" s="59" t="s">
        <v>49</v>
      </c>
      <c r="K18" s="72">
        <v>1918.68</v>
      </c>
      <c r="L18" s="64">
        <f>L25*0.092</f>
        <v>64.82939988</v>
      </c>
      <c r="M18" s="63">
        <f aca="true" t="shared" si="0" ref="M18:M24">K18*L18</f>
        <v>124386.8729617584</v>
      </c>
    </row>
    <row r="19" spans="1:13" s="13" customFormat="1" ht="15" customHeight="1">
      <c r="A19" s="21"/>
      <c r="B19" s="86"/>
      <c r="C19" s="69"/>
      <c r="D19" s="9"/>
      <c r="E19" s="10"/>
      <c r="F19" s="14"/>
      <c r="G19" s="52"/>
      <c r="I19" s="60">
        <v>2</v>
      </c>
      <c r="J19" s="104" t="s">
        <v>50</v>
      </c>
      <c r="K19" s="72">
        <v>1918.68</v>
      </c>
      <c r="L19" s="65">
        <f>L25*0.133</f>
        <v>93.72076287</v>
      </c>
      <c r="M19" s="63">
        <f>K19*L19</f>
        <v>179820.15330341161</v>
      </c>
    </row>
    <row r="20" spans="1:13" s="13" customFormat="1" ht="15" customHeight="1">
      <c r="A20" s="58"/>
      <c r="B20" s="71" t="s">
        <v>11</v>
      </c>
      <c r="C20" s="61"/>
      <c r="D20" s="101">
        <f>D18</f>
        <v>278085</v>
      </c>
      <c r="E20" s="102" t="str">
        <f>I15</f>
        <v>---</v>
      </c>
      <c r="F20" s="103">
        <f>SUM(F18:F19)</f>
        <v>704.66739</v>
      </c>
      <c r="G20" s="70"/>
      <c r="I20" s="60">
        <v>3</v>
      </c>
      <c r="J20" s="104" t="s">
        <v>51</v>
      </c>
      <c r="K20" s="72">
        <v>1918.68</v>
      </c>
      <c r="L20" s="65">
        <f>L25*0.173</f>
        <v>121.90745846999998</v>
      </c>
      <c r="M20" s="63">
        <f t="shared" si="0"/>
        <v>233901.40241721956</v>
      </c>
    </row>
    <row r="21" spans="5:13" s="50" customFormat="1" ht="15" customHeight="1">
      <c r="E21" s="54"/>
      <c r="F21" s="55"/>
      <c r="G21" s="53"/>
      <c r="I21" s="60">
        <v>4</v>
      </c>
      <c r="J21" s="59" t="s">
        <v>52</v>
      </c>
      <c r="K21" s="72">
        <v>1918.68</v>
      </c>
      <c r="L21" s="64">
        <f>L25*0.192</f>
        <v>135.29613888</v>
      </c>
      <c r="M21" s="63">
        <f t="shared" si="0"/>
        <v>259589.9957462784</v>
      </c>
    </row>
    <row r="22" spans="5:13" s="50" customFormat="1" ht="15" customHeight="1">
      <c r="E22" s="54"/>
      <c r="F22" s="55"/>
      <c r="G22" s="53"/>
      <c r="I22" s="60">
        <v>5</v>
      </c>
      <c r="J22" s="59" t="s">
        <v>53</v>
      </c>
      <c r="K22" s="72">
        <v>1918.68</v>
      </c>
      <c r="L22" s="64">
        <f>L25*0.17</f>
        <v>119.7934563</v>
      </c>
      <c r="M22" s="63">
        <f t="shared" si="0"/>
        <v>229845.308733684</v>
      </c>
    </row>
    <row r="23" spans="5:13" s="50" customFormat="1" ht="15" customHeight="1">
      <c r="E23" s="54"/>
      <c r="F23" s="55"/>
      <c r="G23" s="53"/>
      <c r="I23" s="60">
        <v>6</v>
      </c>
      <c r="J23" s="59" t="s">
        <v>54</v>
      </c>
      <c r="K23" s="72">
        <v>1918.68</v>
      </c>
      <c r="L23" s="64">
        <f>L25*0.152</f>
        <v>107.10944328</v>
      </c>
      <c r="M23" s="63">
        <f t="shared" si="0"/>
        <v>205508.7466324704</v>
      </c>
    </row>
    <row r="24" spans="5:13" s="50" customFormat="1" ht="15" customHeight="1">
      <c r="E24" s="54"/>
      <c r="F24" s="55"/>
      <c r="G24" s="53"/>
      <c r="I24" s="60">
        <v>7</v>
      </c>
      <c r="J24" s="72" t="s">
        <v>55</v>
      </c>
      <c r="K24" s="72">
        <v>1918.68</v>
      </c>
      <c r="L24" s="64">
        <f>L25*0.088</f>
        <v>62.01073031999999</v>
      </c>
      <c r="M24" s="63">
        <f t="shared" si="0"/>
        <v>118978.74805037759</v>
      </c>
    </row>
    <row r="25" spans="5:13" s="50" customFormat="1" ht="15" customHeight="1">
      <c r="E25" s="54"/>
      <c r="F25" s="55"/>
      <c r="G25" s="53"/>
      <c r="I25" s="184" t="s">
        <v>22</v>
      </c>
      <c r="J25" s="184"/>
      <c r="K25" s="47" t="str">
        <f>I15</f>
        <v>---</v>
      </c>
      <c r="L25" s="47">
        <f>F20</f>
        <v>704.66739</v>
      </c>
      <c r="M25" s="62">
        <f>SUM(M18:M24)</f>
        <v>1352031.2278451999</v>
      </c>
    </row>
    <row r="26" ht="8.25" customHeight="1"/>
    <row r="27" spans="1:14" ht="67.5" customHeight="1" hidden="1">
      <c r="A27" s="4" t="s">
        <v>1</v>
      </c>
      <c r="B27" s="4" t="s">
        <v>2</v>
      </c>
      <c r="C27" s="5" t="s">
        <v>3</v>
      </c>
      <c r="D27" s="4" t="s">
        <v>13</v>
      </c>
      <c r="E27" s="4" t="s">
        <v>14</v>
      </c>
      <c r="F27" s="4" t="s">
        <v>15</v>
      </c>
      <c r="G27" s="4"/>
      <c r="L27" s="37"/>
      <c r="M27" s="37"/>
      <c r="N27" s="37"/>
    </row>
    <row r="28" spans="1:13" s="84" customFormat="1" ht="75" customHeight="1">
      <c r="A28" s="74" t="s">
        <v>1</v>
      </c>
      <c r="B28" s="74" t="s">
        <v>2</v>
      </c>
      <c r="C28" s="83" t="s">
        <v>3</v>
      </c>
      <c r="D28" s="83" t="s">
        <v>31</v>
      </c>
      <c r="E28" s="74" t="s">
        <v>34</v>
      </c>
      <c r="F28" s="74" t="s">
        <v>35</v>
      </c>
      <c r="H28" s="74" t="s">
        <v>36</v>
      </c>
      <c r="I28" s="74" t="s">
        <v>21</v>
      </c>
      <c r="J28" s="74" t="s">
        <v>16</v>
      </c>
      <c r="K28" s="74" t="s">
        <v>60</v>
      </c>
      <c r="L28" s="74" t="s">
        <v>61</v>
      </c>
      <c r="M28" s="74" t="s">
        <v>59</v>
      </c>
    </row>
    <row r="29" spans="1:13" s="13" customFormat="1" ht="15" customHeight="1">
      <c r="A29" s="180">
        <v>1</v>
      </c>
      <c r="B29" s="182" t="s">
        <v>37</v>
      </c>
      <c r="C29" s="177" t="s">
        <v>29</v>
      </c>
      <c r="D29" s="39" t="s">
        <v>32</v>
      </c>
      <c r="E29" s="33">
        <v>40</v>
      </c>
      <c r="F29" s="15">
        <f>40*1.37</f>
        <v>54.800000000000004</v>
      </c>
      <c r="H29" s="12">
        <f>F29*20</f>
        <v>1096</v>
      </c>
      <c r="I29" s="38">
        <v>20.6</v>
      </c>
      <c r="J29" s="10">
        <v>1918.68</v>
      </c>
      <c r="K29" s="15">
        <f>H29*I29</f>
        <v>22577.600000000002</v>
      </c>
      <c r="L29" s="15">
        <f>F29*J29</f>
        <v>105143.66400000002</v>
      </c>
      <c r="M29" s="15">
        <f>K29+L29</f>
        <v>127721.26400000002</v>
      </c>
    </row>
    <row r="30" spans="1:15" s="13" customFormat="1" ht="15" customHeight="1">
      <c r="A30" s="170"/>
      <c r="B30" s="183"/>
      <c r="C30" s="179"/>
      <c r="D30" s="39" t="s">
        <v>33</v>
      </c>
      <c r="E30" s="33">
        <v>2</v>
      </c>
      <c r="F30" s="15">
        <f>2*3.07</f>
        <v>6.14</v>
      </c>
      <c r="H30" s="12">
        <f>F30*20</f>
        <v>122.8</v>
      </c>
      <c r="I30" s="38">
        <v>20.6</v>
      </c>
      <c r="J30" s="10">
        <v>1918.68</v>
      </c>
      <c r="K30" s="15">
        <f>H30*I30</f>
        <v>2529.6800000000003</v>
      </c>
      <c r="L30" s="15">
        <f>F30*J30</f>
        <v>11780.6952</v>
      </c>
      <c r="M30" s="15">
        <f>K30+L30</f>
        <v>14310.3752</v>
      </c>
      <c r="N30" s="44"/>
      <c r="O30" s="45"/>
    </row>
    <row r="31" spans="1:15" s="13" customFormat="1" ht="15" customHeight="1">
      <c r="A31" s="180">
        <v>2</v>
      </c>
      <c r="B31" s="182" t="s">
        <v>38</v>
      </c>
      <c r="C31" s="177" t="s">
        <v>29</v>
      </c>
      <c r="D31" s="39" t="s">
        <v>32</v>
      </c>
      <c r="E31" s="33">
        <v>54</v>
      </c>
      <c r="F31" s="15">
        <f>54*1.37</f>
        <v>73.98</v>
      </c>
      <c r="H31" s="12">
        <f>F31*20</f>
        <v>1479.6000000000001</v>
      </c>
      <c r="I31" s="38">
        <v>20.6</v>
      </c>
      <c r="J31" s="10">
        <v>1918.68</v>
      </c>
      <c r="K31" s="15">
        <f>H31*I31</f>
        <v>30479.760000000006</v>
      </c>
      <c r="L31" s="15">
        <f>F31*J31</f>
        <v>141943.94640000002</v>
      </c>
      <c r="M31" s="15">
        <f>K31+L31</f>
        <v>172423.70640000002</v>
      </c>
      <c r="N31" s="45"/>
      <c r="O31" s="45"/>
    </row>
    <row r="32" spans="1:15" s="13" customFormat="1" ht="15" customHeight="1">
      <c r="A32" s="170"/>
      <c r="B32" s="183"/>
      <c r="C32" s="179"/>
      <c r="D32" s="39" t="s">
        <v>33</v>
      </c>
      <c r="E32" s="33">
        <v>11</v>
      </c>
      <c r="F32" s="15">
        <f>11*3.07</f>
        <v>33.769999999999996</v>
      </c>
      <c r="H32" s="12">
        <f>F32*20</f>
        <v>675.3999999999999</v>
      </c>
      <c r="I32" s="38">
        <v>20.6</v>
      </c>
      <c r="J32" s="10">
        <v>1918.68</v>
      </c>
      <c r="K32" s="15">
        <f>H32*I32</f>
        <v>13913.239999999998</v>
      </c>
      <c r="L32" s="15">
        <f>F32*J32</f>
        <v>64793.823599999996</v>
      </c>
      <c r="M32" s="15">
        <f>K32+L32</f>
        <v>78707.0636</v>
      </c>
      <c r="N32" s="44"/>
      <c r="O32" s="45"/>
    </row>
    <row r="33" spans="1:21" ht="30" customHeight="1">
      <c r="A33" s="4">
        <v>3</v>
      </c>
      <c r="B33" s="7" t="s">
        <v>39</v>
      </c>
      <c r="C33" s="18" t="s">
        <v>30</v>
      </c>
      <c r="D33" s="39" t="s">
        <v>40</v>
      </c>
      <c r="E33" s="42">
        <v>150000</v>
      </c>
      <c r="F33" s="30">
        <f>E33*30*10/1000000</f>
        <v>45</v>
      </c>
      <c r="H33" s="21" t="s">
        <v>12</v>
      </c>
      <c r="I33" s="21" t="s">
        <v>12</v>
      </c>
      <c r="J33" s="10">
        <v>1918.68</v>
      </c>
      <c r="K33" s="20" t="str">
        <f>I33</f>
        <v>---</v>
      </c>
      <c r="L33" s="15">
        <f>F33*J33</f>
        <v>86340.6</v>
      </c>
      <c r="M33" s="15">
        <f>L33</f>
        <v>86340.6</v>
      </c>
      <c r="N33" s="46"/>
      <c r="O33" s="32"/>
      <c r="Q33" s="31"/>
      <c r="R33" s="31"/>
      <c r="S33" s="32"/>
      <c r="T33" s="31"/>
      <c r="U33" s="31"/>
    </row>
    <row r="34" spans="1:21" ht="12" customHeight="1">
      <c r="A34" s="185"/>
      <c r="B34" s="174" t="s">
        <v>62</v>
      </c>
      <c r="C34" s="177"/>
      <c r="D34" s="39" t="s">
        <v>32</v>
      </c>
      <c r="E34" s="43">
        <v>94</v>
      </c>
      <c r="F34" s="165">
        <f>SUM(F29:F33)*12</f>
        <v>2564.2799999999997</v>
      </c>
      <c r="H34" s="165">
        <f>SUM(H29:H32)*12</f>
        <v>40485.600000000006</v>
      </c>
      <c r="I34" s="171" t="s">
        <v>12</v>
      </c>
      <c r="J34" s="180" t="s">
        <v>12</v>
      </c>
      <c r="K34" s="165">
        <f>SUM(K29:K32)*12</f>
        <v>834003.36</v>
      </c>
      <c r="L34" s="165">
        <f>SUM(L29:L33)*12</f>
        <v>4920032.750400001</v>
      </c>
      <c r="M34" s="165">
        <f>(M29*11)+(M30*11)+(M31*11)+((M32)*11)+((M33*7))</f>
        <v>4929170.701200001</v>
      </c>
      <c r="N34" s="46"/>
      <c r="O34" s="32"/>
      <c r="Q34" s="31"/>
      <c r="R34" s="31"/>
      <c r="S34" s="32"/>
      <c r="T34" s="31"/>
      <c r="U34" s="31"/>
    </row>
    <row r="35" spans="1:21" ht="10.5" customHeight="1">
      <c r="A35" s="186"/>
      <c r="B35" s="175"/>
      <c r="C35" s="178"/>
      <c r="D35" s="39" t="s">
        <v>33</v>
      </c>
      <c r="E35" s="43">
        <v>13</v>
      </c>
      <c r="F35" s="169"/>
      <c r="H35" s="166"/>
      <c r="I35" s="172"/>
      <c r="J35" s="169"/>
      <c r="K35" s="166"/>
      <c r="L35" s="166"/>
      <c r="M35" s="166"/>
      <c r="N35" s="46"/>
      <c r="O35" s="32"/>
      <c r="Q35" s="31"/>
      <c r="R35" s="31"/>
      <c r="S35" s="32"/>
      <c r="T35" s="31"/>
      <c r="U35" s="31"/>
    </row>
    <row r="36" spans="1:15" s="35" customFormat="1" ht="12" customHeight="1">
      <c r="A36" s="187"/>
      <c r="B36" s="176"/>
      <c r="C36" s="179"/>
      <c r="D36" s="18" t="s">
        <v>40</v>
      </c>
      <c r="E36" s="34">
        <v>150000</v>
      </c>
      <c r="F36" s="170"/>
      <c r="H36" s="167"/>
      <c r="I36" s="173"/>
      <c r="J36" s="170"/>
      <c r="K36" s="167"/>
      <c r="L36" s="167"/>
      <c r="M36" s="167"/>
      <c r="N36" s="36"/>
      <c r="O36" s="41"/>
    </row>
    <row r="37" spans="1:14" s="2" customFormat="1" ht="12.75" customHeight="1">
      <c r="A37" s="22"/>
      <c r="B37" s="22"/>
      <c r="C37" s="32"/>
      <c r="D37" s="40"/>
      <c r="E37" s="23"/>
      <c r="F37" s="24"/>
      <c r="G37" s="24"/>
      <c r="H37" s="24"/>
      <c r="I37" s="25"/>
      <c r="J37" s="26"/>
      <c r="K37" s="24"/>
      <c r="L37" s="24"/>
      <c r="M37" s="25"/>
      <c r="N37" s="25"/>
    </row>
    <row r="38" spans="1:14" s="2" customFormat="1" ht="15" customHeight="1">
      <c r="A38" s="22"/>
      <c r="B38" s="168" t="s">
        <v>42</v>
      </c>
      <c r="C38" s="168"/>
      <c r="D38" s="48">
        <f>J15+M25+M34</f>
        <v>7689021.675097201</v>
      </c>
      <c r="E38" s="49"/>
      <c r="F38" s="24"/>
      <c r="G38" s="24"/>
      <c r="H38" s="24"/>
      <c r="J38" s="26"/>
      <c r="K38" s="24"/>
      <c r="L38" s="24"/>
      <c r="M38" s="25"/>
      <c r="N38" s="25"/>
    </row>
    <row r="39" spans="3:10" ht="15.75">
      <c r="C39" s="22"/>
      <c r="D39" s="22"/>
      <c r="G39" s="3"/>
      <c r="H39" s="27"/>
      <c r="I39" s="27"/>
      <c r="J39" s="28"/>
    </row>
    <row r="40" spans="1:9" s="2" customFormat="1" ht="15">
      <c r="A40" s="2" t="s">
        <v>17</v>
      </c>
      <c r="C40" s="25"/>
      <c r="D40" s="25"/>
      <c r="I40" s="2" t="s">
        <v>18</v>
      </c>
    </row>
    <row r="41" spans="3:4" s="2" customFormat="1" ht="15">
      <c r="C41" s="1"/>
      <c r="D41" s="1"/>
    </row>
    <row r="43" spans="1:9" s="2" customFormat="1" ht="15">
      <c r="A43" s="2" t="s">
        <v>23</v>
      </c>
      <c r="C43" s="1"/>
      <c r="D43" s="1"/>
      <c r="I43" s="2" t="s">
        <v>41</v>
      </c>
    </row>
    <row r="44" spans="1:9" s="2" customFormat="1" ht="15">
      <c r="A44" s="2" t="s">
        <v>19</v>
      </c>
      <c r="I44" s="2" t="s">
        <v>19</v>
      </c>
    </row>
    <row r="45" spans="3:4" ht="15">
      <c r="C45" s="2"/>
      <c r="D45" s="2"/>
    </row>
    <row r="47" spans="1:4" ht="15">
      <c r="A47" s="1" t="s">
        <v>20</v>
      </c>
      <c r="C47" s="2"/>
      <c r="D47" s="2"/>
    </row>
    <row r="48" ht="15">
      <c r="C48" s="2"/>
    </row>
  </sheetData>
  <sheetProtection/>
  <mergeCells count="19">
    <mergeCell ref="M34:M36"/>
    <mergeCell ref="A1:J1"/>
    <mergeCell ref="A29:A30"/>
    <mergeCell ref="B29:B30"/>
    <mergeCell ref="C29:C30"/>
    <mergeCell ref="I25:J25"/>
    <mergeCell ref="A31:A32"/>
    <mergeCell ref="B31:B32"/>
    <mergeCell ref="C31:C32"/>
    <mergeCell ref="A34:A36"/>
    <mergeCell ref="L34:L36"/>
    <mergeCell ref="B38:C38"/>
    <mergeCell ref="F34:F36"/>
    <mergeCell ref="H34:H36"/>
    <mergeCell ref="I34:I36"/>
    <mergeCell ref="B34:B36"/>
    <mergeCell ref="C34:C36"/>
    <mergeCell ref="J34:J36"/>
    <mergeCell ref="K34:K36"/>
  </mergeCells>
  <printOptions/>
  <pageMargins left="0.42" right="0.17" top="0.17" bottom="0.16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75" zoomScaleNormal="75" zoomScaleSheetLayoutView="75" workbookViewId="0" topLeftCell="D12">
      <selection activeCell="M34" sqref="M34"/>
    </sheetView>
  </sheetViews>
  <sheetFormatPr defaultColWidth="10.5" defaultRowHeight="11.25" outlineLevelRow="1" outlineLevelCol="1"/>
  <cols>
    <col min="1" max="1" width="4.33203125" style="1" customWidth="1"/>
    <col min="2" max="2" width="43.5" style="1" customWidth="1"/>
    <col min="3" max="3" width="38.66015625" style="1" customWidth="1"/>
    <col min="4" max="4" width="22.66015625" style="1" customWidth="1"/>
    <col min="5" max="5" width="21.83203125" style="1" customWidth="1"/>
    <col min="6" max="6" width="21.5" style="1" customWidth="1"/>
    <col min="7" max="7" width="10.33203125" style="1" hidden="1" customWidth="1" outlineLevel="1"/>
    <col min="8" max="8" width="13.5" style="1" customWidth="1" collapsed="1"/>
    <col min="9" max="9" width="21.5" style="1" customWidth="1"/>
    <col min="10" max="10" width="20.16015625" style="1" customWidth="1"/>
    <col min="11" max="11" width="18.5" style="1" customWidth="1"/>
    <col min="12" max="12" width="19.5" style="1" customWidth="1"/>
    <col min="13" max="13" width="22" style="1" customWidth="1"/>
    <col min="14" max="14" width="16.5" style="1" customWidth="1"/>
    <col min="15" max="16384" width="10.5" style="1" customWidth="1"/>
  </cols>
  <sheetData>
    <row r="1" spans="1:10" ht="16.5" customHeight="1">
      <c r="A1" s="181" t="s">
        <v>25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5.75">
      <c r="J2" s="3" t="s">
        <v>0</v>
      </c>
    </row>
    <row r="3" spans="1:10" ht="66" customHeight="1" hidden="1" outlineLevel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13" customFormat="1" ht="15" customHeight="1" hidden="1" outlineLevel="1">
      <c r="A4" s="6">
        <v>1</v>
      </c>
      <c r="B4" s="7" t="s">
        <v>26</v>
      </c>
      <c r="C4" s="8" t="s">
        <v>29</v>
      </c>
      <c r="D4" s="9">
        <v>159408</v>
      </c>
      <c r="E4" s="10">
        <v>1368.36</v>
      </c>
      <c r="F4" s="11">
        <v>0.19</v>
      </c>
      <c r="G4" s="12">
        <f>E4*F4/7</f>
        <v>37.14119999999999</v>
      </c>
      <c r="H4" s="12">
        <f>G4*4</f>
        <v>148.56479999999996</v>
      </c>
      <c r="I4" s="10">
        <v>1764.1</v>
      </c>
      <c r="J4" s="10">
        <f>H4*I4</f>
        <v>262083.1636799999</v>
      </c>
    </row>
    <row r="5" spans="1:10" s="13" customFormat="1" ht="15" customHeight="1" hidden="1" outlineLevel="1">
      <c r="A5" s="6">
        <v>2</v>
      </c>
      <c r="B5" s="7" t="s">
        <v>26</v>
      </c>
      <c r="C5" s="8" t="s">
        <v>29</v>
      </c>
      <c r="D5" s="9">
        <v>214924</v>
      </c>
      <c r="E5" s="10">
        <v>2390.45</v>
      </c>
      <c r="F5" s="11">
        <v>0.19</v>
      </c>
      <c r="G5" s="12">
        <f>E5*F5/7</f>
        <v>64.88364285714286</v>
      </c>
      <c r="H5" s="12">
        <f>G5*4</f>
        <v>259.53457142857144</v>
      </c>
      <c r="I5" s="10">
        <v>1764.1</v>
      </c>
      <c r="J5" s="10">
        <f>H5*I5</f>
        <v>457844.93745714286</v>
      </c>
    </row>
    <row r="6" spans="1:10" s="13" customFormat="1" ht="15" customHeight="1" hidden="1" outlineLevel="1">
      <c r="A6" s="6">
        <v>3</v>
      </c>
      <c r="B6" s="7" t="s">
        <v>27</v>
      </c>
      <c r="C6" s="29" t="s">
        <v>24</v>
      </c>
      <c r="D6" s="9">
        <v>13000</v>
      </c>
      <c r="E6" s="10">
        <v>103</v>
      </c>
      <c r="F6" s="11">
        <v>0.19</v>
      </c>
      <c r="G6" s="14">
        <f>E6*F6/7</f>
        <v>2.795714285714286</v>
      </c>
      <c r="H6" s="14">
        <f>G6*4</f>
        <v>11.182857142857143</v>
      </c>
      <c r="I6" s="10">
        <v>1764.1</v>
      </c>
      <c r="J6" s="15">
        <f>H6*I6</f>
        <v>19727.678285714286</v>
      </c>
    </row>
    <row r="7" spans="1:10" s="13" customFormat="1" ht="15" customHeight="1" hidden="1" outlineLevel="1">
      <c r="A7" s="6">
        <v>4</v>
      </c>
      <c r="B7" s="7" t="s">
        <v>28</v>
      </c>
      <c r="C7" s="29" t="s">
        <v>30</v>
      </c>
      <c r="D7" s="9">
        <v>278085</v>
      </c>
      <c r="E7" s="10"/>
      <c r="F7" s="11">
        <v>0.19</v>
      </c>
      <c r="G7" s="14">
        <f>E7*F7/7</f>
        <v>0</v>
      </c>
      <c r="H7" s="14">
        <f>G7*4</f>
        <v>0</v>
      </c>
      <c r="I7" s="10">
        <v>1764.1</v>
      </c>
      <c r="J7" s="15">
        <f>H7*I7</f>
        <v>0</v>
      </c>
    </row>
    <row r="8" spans="1:10" ht="15.75" customHeight="1" hidden="1" outlineLevel="1">
      <c r="A8" s="16"/>
      <c r="B8" s="17" t="s">
        <v>11</v>
      </c>
      <c r="C8" s="18"/>
      <c r="D8" s="19">
        <f>SUM(D4:D7)</f>
        <v>665417</v>
      </c>
      <c r="E8" s="15">
        <f>SUM(E4:E7)</f>
        <v>3861.8099999999995</v>
      </c>
      <c r="F8" s="6" t="s">
        <v>12</v>
      </c>
      <c r="G8" s="6" t="s">
        <v>12</v>
      </c>
      <c r="H8" s="15">
        <f>SUM(H4:H7)</f>
        <v>419.28222857142856</v>
      </c>
      <c r="I8" s="20" t="s">
        <v>12</v>
      </c>
      <c r="J8" s="15">
        <f>SUM(J4:J7)</f>
        <v>739655.779422857</v>
      </c>
    </row>
    <row r="9" ht="5.25" customHeight="1" collapsed="1"/>
    <row r="10" spans="1:10" s="84" customFormat="1" ht="57" customHeight="1">
      <c r="A10" s="74" t="s">
        <v>1</v>
      </c>
      <c r="B10" s="74" t="s">
        <v>2</v>
      </c>
      <c r="C10" s="83" t="s">
        <v>3</v>
      </c>
      <c r="D10" s="74" t="s">
        <v>4</v>
      </c>
      <c r="E10" s="74" t="s">
        <v>5</v>
      </c>
      <c r="F10" s="74" t="s">
        <v>70</v>
      </c>
      <c r="G10" s="74" t="s">
        <v>7</v>
      </c>
      <c r="H10" s="74" t="s">
        <v>71</v>
      </c>
      <c r="I10" s="74" t="s">
        <v>9</v>
      </c>
      <c r="J10" s="74" t="s">
        <v>57</v>
      </c>
    </row>
    <row r="11" spans="1:10" s="13" customFormat="1" ht="27" customHeight="1">
      <c r="A11" s="21">
        <v>1</v>
      </c>
      <c r="B11" s="86" t="s">
        <v>37</v>
      </c>
      <c r="C11" s="87" t="s">
        <v>29</v>
      </c>
      <c r="D11" s="88">
        <v>159408</v>
      </c>
      <c r="E11" s="89">
        <v>1368.36</v>
      </c>
      <c r="F11" s="90">
        <v>0.19</v>
      </c>
      <c r="G11" s="91">
        <f>E11*F11/7</f>
        <v>37.14119999999999</v>
      </c>
      <c r="H11" s="91">
        <f>G11*7</f>
        <v>259.98839999999996</v>
      </c>
      <c r="I11" s="89">
        <v>1918.68</v>
      </c>
      <c r="J11" s="89">
        <f>H11*I11</f>
        <v>498834.54331199994</v>
      </c>
    </row>
    <row r="12" spans="1:10" s="13" customFormat="1" ht="27" customHeight="1">
      <c r="A12" s="21">
        <v>2</v>
      </c>
      <c r="B12" s="86" t="s">
        <v>38</v>
      </c>
      <c r="C12" s="87" t="s">
        <v>29</v>
      </c>
      <c r="D12" s="88">
        <v>214924</v>
      </c>
      <c r="E12" s="89">
        <v>2390.45</v>
      </c>
      <c r="F12" s="90">
        <v>0.19</v>
      </c>
      <c r="G12" s="91">
        <f>E12*F12/7</f>
        <v>64.88364285714286</v>
      </c>
      <c r="H12" s="91">
        <f>G12*7</f>
        <v>454.18550000000005</v>
      </c>
      <c r="I12" s="89">
        <v>1918.68</v>
      </c>
      <c r="J12" s="89">
        <f>H12*I12</f>
        <v>871436.6351400001</v>
      </c>
    </row>
    <row r="13" spans="1:10" s="13" customFormat="1" ht="15" customHeight="1">
      <c r="A13" s="21">
        <v>3</v>
      </c>
      <c r="B13" s="86" t="s">
        <v>44</v>
      </c>
      <c r="C13" s="92" t="s">
        <v>24</v>
      </c>
      <c r="D13" s="88">
        <v>13000</v>
      </c>
      <c r="E13" s="89">
        <v>103</v>
      </c>
      <c r="F13" s="90">
        <v>0.19</v>
      </c>
      <c r="G13" s="93">
        <f>E13*F13/7</f>
        <v>2.795714285714286</v>
      </c>
      <c r="H13" s="91">
        <f>G13*7</f>
        <v>19.57</v>
      </c>
      <c r="I13" s="89">
        <v>1918.68</v>
      </c>
      <c r="J13" s="94">
        <f>H13*I13</f>
        <v>37548.5676</v>
      </c>
    </row>
    <row r="14" spans="1:10" s="13" customFormat="1" ht="10.5" customHeight="1" thickBot="1">
      <c r="A14" s="24"/>
      <c r="B14" s="106"/>
      <c r="C14" s="114"/>
      <c r="D14" s="115"/>
      <c r="E14" s="116"/>
      <c r="F14" s="117"/>
      <c r="G14" s="118"/>
      <c r="H14" s="119"/>
      <c r="I14" s="116"/>
      <c r="J14" s="120"/>
    </row>
    <row r="15" spans="1:10" s="2" customFormat="1" ht="16.5" customHeight="1" thickBot="1">
      <c r="A15" s="121"/>
      <c r="B15" s="122" t="s">
        <v>11</v>
      </c>
      <c r="C15" s="123"/>
      <c r="D15" s="124">
        <f>SUM(D11:D13)</f>
        <v>387332</v>
      </c>
      <c r="E15" s="125">
        <f>SUM(E11:E13)</f>
        <v>3861.8099999999995</v>
      </c>
      <c r="F15" s="126" t="s">
        <v>12</v>
      </c>
      <c r="G15" s="127" t="s">
        <v>12</v>
      </c>
      <c r="H15" s="125">
        <f>SUM(H11:H13)</f>
        <v>733.7439</v>
      </c>
      <c r="I15" s="128" t="s">
        <v>12</v>
      </c>
      <c r="J15" s="129">
        <f>SUM(J11:J13)</f>
        <v>1407819.746052</v>
      </c>
    </row>
    <row r="16" spans="1:11" s="13" customFormat="1" ht="10.5" customHeight="1">
      <c r="A16" s="85"/>
      <c r="B16" s="66"/>
      <c r="C16" s="40"/>
      <c r="D16" s="67"/>
      <c r="E16" s="57"/>
      <c r="F16" s="68"/>
      <c r="G16" s="51"/>
      <c r="H16" s="56"/>
      <c r="I16" s="57"/>
      <c r="J16" s="44"/>
      <c r="K16" s="45"/>
    </row>
    <row r="17" spans="1:13" s="79" customFormat="1" ht="57" customHeight="1">
      <c r="A17" s="74" t="s">
        <v>43</v>
      </c>
      <c r="B17" s="74" t="s">
        <v>2</v>
      </c>
      <c r="C17" s="73" t="s">
        <v>3</v>
      </c>
      <c r="D17" s="75" t="s">
        <v>4</v>
      </c>
      <c r="E17" s="76" t="s">
        <v>16</v>
      </c>
      <c r="F17" s="77" t="s">
        <v>46</v>
      </c>
      <c r="G17" s="78"/>
      <c r="I17" s="200" t="s">
        <v>1</v>
      </c>
      <c r="J17" s="201" t="s">
        <v>47</v>
      </c>
      <c r="K17" s="202" t="s">
        <v>16</v>
      </c>
      <c r="L17" s="203" t="s">
        <v>72</v>
      </c>
      <c r="M17" s="202" t="s">
        <v>58</v>
      </c>
    </row>
    <row r="18" spans="1:13" s="13" customFormat="1" ht="15" customHeight="1">
      <c r="A18" s="21">
        <v>4</v>
      </c>
      <c r="B18" s="86" t="s">
        <v>28</v>
      </c>
      <c r="C18" s="72" t="s">
        <v>30</v>
      </c>
      <c r="D18" s="9">
        <v>278085</v>
      </c>
      <c r="E18" s="10">
        <v>1918.68</v>
      </c>
      <c r="F18" s="14">
        <f>D18*0.002534</f>
        <v>704.66739</v>
      </c>
      <c r="G18" s="52"/>
      <c r="I18" s="60">
        <v>1</v>
      </c>
      <c r="J18" s="59" t="s">
        <v>49</v>
      </c>
      <c r="K18" s="72">
        <v>1918.68</v>
      </c>
      <c r="L18" s="64">
        <f>L25*0.092</f>
        <v>64.82939988</v>
      </c>
      <c r="M18" s="63">
        <f aca="true" t="shared" si="0" ref="M18:M24">K18*L18</f>
        <v>124386.8729617584</v>
      </c>
    </row>
    <row r="19" spans="1:13" s="13" customFormat="1" ht="15" customHeight="1" thickBot="1">
      <c r="A19" s="24"/>
      <c r="B19" s="106"/>
      <c r="C19" s="107"/>
      <c r="D19" s="67"/>
      <c r="E19" s="57"/>
      <c r="F19" s="51"/>
      <c r="G19" s="52"/>
      <c r="I19" s="60">
        <v>2</v>
      </c>
      <c r="J19" s="104" t="s">
        <v>50</v>
      </c>
      <c r="K19" s="72">
        <v>1918.68</v>
      </c>
      <c r="L19" s="65">
        <f>L25*0.133</f>
        <v>93.72076287</v>
      </c>
      <c r="M19" s="63">
        <f t="shared" si="0"/>
        <v>179820.15330341161</v>
      </c>
    </row>
    <row r="20" spans="1:13" s="13" customFormat="1" ht="15" customHeight="1" thickBot="1">
      <c r="A20" s="108"/>
      <c r="B20" s="109" t="s">
        <v>11</v>
      </c>
      <c r="C20" s="110"/>
      <c r="D20" s="111">
        <f>D18</f>
        <v>278085</v>
      </c>
      <c r="E20" s="112" t="str">
        <f>I15</f>
        <v>---</v>
      </c>
      <c r="F20" s="113">
        <f>SUM(F18:F19)</f>
        <v>704.66739</v>
      </c>
      <c r="G20" s="70"/>
      <c r="I20" s="60">
        <v>3</v>
      </c>
      <c r="J20" s="104" t="s">
        <v>51</v>
      </c>
      <c r="K20" s="72">
        <v>1918.68</v>
      </c>
      <c r="L20" s="65">
        <f>L25*0.173</f>
        <v>121.90745846999998</v>
      </c>
      <c r="M20" s="63">
        <f t="shared" si="0"/>
        <v>233901.40241721956</v>
      </c>
    </row>
    <row r="21" spans="5:13" s="50" customFormat="1" ht="15" customHeight="1">
      <c r="E21" s="54"/>
      <c r="F21" s="55"/>
      <c r="G21" s="53"/>
      <c r="I21" s="60">
        <v>4</v>
      </c>
      <c r="J21" s="59" t="s">
        <v>52</v>
      </c>
      <c r="K21" s="72">
        <v>1918.68</v>
      </c>
      <c r="L21" s="64">
        <f>L25*0.192</f>
        <v>135.29613888</v>
      </c>
      <c r="M21" s="63">
        <f t="shared" si="0"/>
        <v>259589.9957462784</v>
      </c>
    </row>
    <row r="22" spans="5:13" s="50" customFormat="1" ht="15" customHeight="1">
      <c r="E22" s="54"/>
      <c r="F22" s="55"/>
      <c r="G22" s="53"/>
      <c r="I22" s="60">
        <v>5</v>
      </c>
      <c r="J22" s="59" t="s">
        <v>53</v>
      </c>
      <c r="K22" s="72">
        <v>1918.68</v>
      </c>
      <c r="L22" s="64">
        <f>L25*0.17</f>
        <v>119.7934563</v>
      </c>
      <c r="M22" s="63">
        <f t="shared" si="0"/>
        <v>229845.308733684</v>
      </c>
    </row>
    <row r="23" spans="5:13" s="50" customFormat="1" ht="15" customHeight="1">
      <c r="E23" s="54"/>
      <c r="F23" s="55"/>
      <c r="G23" s="53"/>
      <c r="I23" s="60">
        <v>6</v>
      </c>
      <c r="J23" s="59" t="s">
        <v>54</v>
      </c>
      <c r="K23" s="72">
        <v>1918.68</v>
      </c>
      <c r="L23" s="64">
        <f>L25*0.152</f>
        <v>107.10944328</v>
      </c>
      <c r="M23" s="63">
        <f t="shared" si="0"/>
        <v>205508.7466324704</v>
      </c>
    </row>
    <row r="24" spans="5:13" s="50" customFormat="1" ht="15" customHeight="1" thickBot="1">
      <c r="E24" s="54"/>
      <c r="F24" s="55"/>
      <c r="G24" s="53"/>
      <c r="I24" s="130">
        <v>7</v>
      </c>
      <c r="J24" s="105" t="s">
        <v>55</v>
      </c>
      <c r="K24" s="105">
        <v>1918.68</v>
      </c>
      <c r="L24" s="131">
        <f>L25*0.088</f>
        <v>62.01073031999999</v>
      </c>
      <c r="M24" s="132">
        <f t="shared" si="0"/>
        <v>118978.74805037759</v>
      </c>
    </row>
    <row r="25" spans="5:13" s="50" customFormat="1" ht="15" customHeight="1" thickBot="1">
      <c r="E25" s="54"/>
      <c r="F25" s="55"/>
      <c r="G25" s="53"/>
      <c r="I25" s="133" t="s">
        <v>22</v>
      </c>
      <c r="J25" s="134"/>
      <c r="K25" s="135" t="str">
        <f>I15</f>
        <v>---</v>
      </c>
      <c r="L25" s="135">
        <f>F20</f>
        <v>704.66739</v>
      </c>
      <c r="M25" s="136">
        <f>SUM(M18:M24)</f>
        <v>1352031.2278451999</v>
      </c>
    </row>
    <row r="26" spans="5:13" s="50" customFormat="1" ht="15" customHeight="1">
      <c r="E26" s="54"/>
      <c r="F26" s="55"/>
      <c r="G26" s="53"/>
      <c r="I26" s="137"/>
      <c r="J26" s="137"/>
      <c r="K26" s="138"/>
      <c r="L26" s="138"/>
      <c r="M26" s="139"/>
    </row>
    <row r="27" spans="5:14" s="50" customFormat="1" ht="15" customHeight="1">
      <c r="E27" s="54"/>
      <c r="F27" s="55"/>
      <c r="G27" s="53"/>
      <c r="I27" s="137"/>
      <c r="J27" s="137"/>
      <c r="K27" s="138"/>
      <c r="L27" s="138"/>
      <c r="M27" s="191" t="s">
        <v>69</v>
      </c>
      <c r="N27" s="191"/>
    </row>
    <row r="28" ht="8.25" customHeight="1"/>
    <row r="29" spans="1:14" ht="67.5" customHeight="1" hidden="1">
      <c r="A29" s="4" t="s">
        <v>1</v>
      </c>
      <c r="B29" s="4" t="s">
        <v>2</v>
      </c>
      <c r="C29" s="5" t="s">
        <v>3</v>
      </c>
      <c r="D29" s="4" t="s">
        <v>13</v>
      </c>
      <c r="E29" s="4" t="s">
        <v>14</v>
      </c>
      <c r="F29" s="4" t="s">
        <v>15</v>
      </c>
      <c r="G29" s="4"/>
      <c r="L29" s="37"/>
      <c r="M29" s="37"/>
      <c r="N29" s="37"/>
    </row>
    <row r="30" spans="1:14" s="84" customFormat="1" ht="57" customHeight="1">
      <c r="A30" s="74" t="s">
        <v>1</v>
      </c>
      <c r="B30" s="74" t="s">
        <v>2</v>
      </c>
      <c r="C30" s="83" t="s">
        <v>3</v>
      </c>
      <c r="D30" s="74" t="s">
        <v>13</v>
      </c>
      <c r="E30" s="74" t="s">
        <v>63</v>
      </c>
      <c r="F30" s="74" t="s">
        <v>64</v>
      </c>
      <c r="H30" s="74" t="s">
        <v>65</v>
      </c>
      <c r="I30" s="74" t="s">
        <v>15</v>
      </c>
      <c r="J30" s="74" t="s">
        <v>21</v>
      </c>
      <c r="K30" s="74" t="s">
        <v>16</v>
      </c>
      <c r="L30" s="74" t="s">
        <v>66</v>
      </c>
      <c r="M30" s="74" t="s">
        <v>67</v>
      </c>
      <c r="N30" s="74" t="s">
        <v>68</v>
      </c>
    </row>
    <row r="31" spans="1:14" s="150" customFormat="1" ht="27" customHeight="1">
      <c r="A31" s="140">
        <v>1</v>
      </c>
      <c r="B31" s="141" t="s">
        <v>37</v>
      </c>
      <c r="C31" s="142" t="s">
        <v>29</v>
      </c>
      <c r="D31" s="143">
        <v>38</v>
      </c>
      <c r="E31" s="144">
        <v>3.14</v>
      </c>
      <c r="F31" s="145">
        <v>0.1884</v>
      </c>
      <c r="G31" s="146"/>
      <c r="H31" s="144">
        <f>D31*E31</f>
        <v>119.32000000000001</v>
      </c>
      <c r="I31" s="147">
        <f>F31*D31</f>
        <v>7.1592</v>
      </c>
      <c r="J31" s="148">
        <v>20.6</v>
      </c>
      <c r="K31" s="149">
        <v>1918.68</v>
      </c>
      <c r="L31" s="144">
        <f aca="true" t="shared" si="1" ref="L31:M33">H31*J31*12</f>
        <v>29495.904000000002</v>
      </c>
      <c r="M31" s="144">
        <f t="shared" si="1"/>
        <v>164834.566272</v>
      </c>
      <c r="N31" s="144">
        <f>L31+M31</f>
        <v>194330.470272</v>
      </c>
    </row>
    <row r="32" spans="1:14" s="150" customFormat="1" ht="27" customHeight="1">
      <c r="A32" s="140">
        <v>2</v>
      </c>
      <c r="B32" s="141" t="s">
        <v>38</v>
      </c>
      <c r="C32" s="151" t="s">
        <v>29</v>
      </c>
      <c r="D32" s="152">
        <v>79</v>
      </c>
      <c r="E32" s="153">
        <v>3.14</v>
      </c>
      <c r="F32" s="145">
        <v>0.1884</v>
      </c>
      <c r="G32" s="140"/>
      <c r="H32" s="144">
        <f>D32*E32</f>
        <v>248.06</v>
      </c>
      <c r="I32" s="147">
        <f>F32*D32</f>
        <v>14.883600000000001</v>
      </c>
      <c r="J32" s="148">
        <v>20.6</v>
      </c>
      <c r="K32" s="149">
        <v>1918.68</v>
      </c>
      <c r="L32" s="144">
        <f t="shared" si="1"/>
        <v>61320.432</v>
      </c>
      <c r="M32" s="144">
        <f t="shared" si="1"/>
        <v>342682.387776</v>
      </c>
      <c r="N32" s="144">
        <f>L32+M32</f>
        <v>404002.819776</v>
      </c>
    </row>
    <row r="33" spans="1:14" s="155" customFormat="1" ht="60" customHeight="1" thickBot="1">
      <c r="A33" s="142">
        <v>3</v>
      </c>
      <c r="B33" s="198" t="s">
        <v>74</v>
      </c>
      <c r="C33" s="151" t="s">
        <v>30</v>
      </c>
      <c r="D33" s="154">
        <v>67</v>
      </c>
      <c r="E33" s="147">
        <v>0</v>
      </c>
      <c r="F33" s="142">
        <v>0.1488</v>
      </c>
      <c r="G33" s="142"/>
      <c r="H33" s="144">
        <f>D33*E33</f>
        <v>0</v>
      </c>
      <c r="I33" s="199" t="s">
        <v>75</v>
      </c>
      <c r="J33" s="148">
        <v>20.6</v>
      </c>
      <c r="K33" s="149">
        <v>1918.68</v>
      </c>
      <c r="L33" s="144">
        <f t="shared" si="1"/>
        <v>0</v>
      </c>
      <c r="M33" s="144">
        <f>16.57*K33*7</f>
        <v>222547.6932</v>
      </c>
      <c r="N33" s="144">
        <f>L33+M33</f>
        <v>222547.6932</v>
      </c>
    </row>
    <row r="34" spans="1:14" s="164" customFormat="1" ht="21.75" customHeight="1" thickBot="1">
      <c r="A34" s="188" t="s">
        <v>73</v>
      </c>
      <c r="B34" s="189"/>
      <c r="C34" s="190"/>
      <c r="D34" s="156">
        <f>SUM(D31:D33)</f>
        <v>184</v>
      </c>
      <c r="E34" s="157" t="s">
        <v>12</v>
      </c>
      <c r="F34" s="157" t="s">
        <v>12</v>
      </c>
      <c r="G34" s="158"/>
      <c r="H34" s="159">
        <f>SUM(H31:H33)*12</f>
        <v>4408.5599999999995</v>
      </c>
      <c r="I34" s="160">
        <f>((I31+I32)*12)+(16.57*7)</f>
        <v>380.5036</v>
      </c>
      <c r="J34" s="161" t="s">
        <v>12</v>
      </c>
      <c r="K34" s="162">
        <v>1918.68</v>
      </c>
      <c r="L34" s="159">
        <f>SUM(L31:L33)</f>
        <v>90816.33600000001</v>
      </c>
      <c r="M34" s="159">
        <f>SUM(M31:M33)</f>
        <v>730064.647248</v>
      </c>
      <c r="N34" s="163">
        <f>SUM(N31:N33)</f>
        <v>820880.9832479999</v>
      </c>
    </row>
    <row r="35" spans="1:4" s="2" customFormat="1" ht="15.75" thickBot="1">
      <c r="A35" s="22"/>
      <c r="B35" s="22"/>
      <c r="C35" s="32"/>
      <c r="D35" s="25"/>
    </row>
    <row r="36" spans="1:4" s="2" customFormat="1" ht="15.75" thickBot="1">
      <c r="A36" s="22"/>
      <c r="B36" s="192" t="s">
        <v>42</v>
      </c>
      <c r="C36" s="193"/>
      <c r="D36" s="194">
        <f>J15+M25+N34</f>
        <v>3580731.9571452</v>
      </c>
    </row>
    <row r="37" ht="15">
      <c r="C37" s="22"/>
    </row>
    <row r="40" spans="2:10" ht="21">
      <c r="B40" s="195" t="s">
        <v>17</v>
      </c>
      <c r="C40" s="196"/>
      <c r="D40" s="196"/>
      <c r="E40" s="196"/>
      <c r="F40" s="196"/>
      <c r="G40" s="196"/>
      <c r="H40" s="196"/>
      <c r="I40" s="195" t="s">
        <v>18</v>
      </c>
      <c r="J40" s="196"/>
    </row>
    <row r="41" spans="2:10" s="2" customFormat="1" ht="21">
      <c r="B41" s="195"/>
      <c r="C41" s="197"/>
      <c r="D41" s="196"/>
      <c r="E41" s="195"/>
      <c r="F41" s="195"/>
      <c r="G41" s="195"/>
      <c r="H41" s="195"/>
      <c r="I41" s="195"/>
      <c r="J41" s="195"/>
    </row>
    <row r="42" spans="2:10" s="2" customFormat="1" ht="21">
      <c r="B42" s="196"/>
      <c r="C42" s="196"/>
      <c r="D42" s="195"/>
      <c r="E42" s="195"/>
      <c r="F42" s="195"/>
      <c r="G42" s="195"/>
      <c r="H42" s="195"/>
      <c r="I42" s="196"/>
      <c r="J42" s="195"/>
    </row>
    <row r="43" spans="2:10" ht="21">
      <c r="B43" s="195" t="s">
        <v>23</v>
      </c>
      <c r="C43" s="196"/>
      <c r="D43" s="195"/>
      <c r="E43" s="196"/>
      <c r="F43" s="196"/>
      <c r="G43" s="196"/>
      <c r="H43" s="196"/>
      <c r="I43" s="195" t="s">
        <v>41</v>
      </c>
      <c r="J43" s="196"/>
    </row>
    <row r="44" spans="2:10" ht="21">
      <c r="B44" s="195" t="s">
        <v>19</v>
      </c>
      <c r="C44" s="196"/>
      <c r="D44" s="196"/>
      <c r="E44" s="196"/>
      <c r="F44" s="196"/>
      <c r="G44" s="196"/>
      <c r="H44" s="196"/>
      <c r="I44" s="195" t="s">
        <v>19</v>
      </c>
      <c r="J44" s="196"/>
    </row>
    <row r="45" spans="2:4" ht="15">
      <c r="B45" s="2"/>
      <c r="C45" s="2"/>
      <c r="D45" s="2"/>
    </row>
    <row r="46" ht="15">
      <c r="C46" s="2"/>
    </row>
    <row r="51" ht="15">
      <c r="A51" s="1" t="s">
        <v>20</v>
      </c>
    </row>
  </sheetData>
  <sheetProtection/>
  <mergeCells count="4">
    <mergeCell ref="A34:C34"/>
    <mergeCell ref="M27:N27"/>
    <mergeCell ref="B36:C36"/>
    <mergeCell ref="A1:J1"/>
  </mergeCells>
  <printOptions/>
  <pageMargins left="0.42" right="0.17" top="0.17" bottom="0.16" header="0.17" footer="0.16"/>
  <pageSetup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Энергосбыт</cp:lastModifiedBy>
  <cp:lastPrinted>2015-09-16T05:10:54Z</cp:lastPrinted>
  <dcterms:modified xsi:type="dcterms:W3CDTF">2015-09-16T05:19:41Z</dcterms:modified>
  <cp:category/>
  <cp:version/>
  <cp:contentType/>
  <cp:contentStatus/>
</cp:coreProperties>
</file>